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березень" sheetId="1" r:id="rId1"/>
    <sheet name="лютий" sheetId="2" r:id="rId2"/>
    <sheet name="січень-2" sheetId="3" r:id="rId3"/>
    <sheet name="січень" sheetId="4" r:id="rId4"/>
  </sheets>
  <definedNames>
    <definedName name="_xlnm.Print_Area" localSheetId="3">'січень'!$A$1:$R$87</definedName>
  </definedNames>
  <calcPr fullCalcOnLoad="1"/>
</workbook>
</file>

<file path=xl/sharedStrings.xml><?xml version="1.0" encoding="utf-8"?>
<sst xmlns="http://schemas.openxmlformats.org/spreadsheetml/2006/main" count="502" uniqueCount="150">
  <si>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</si>
  <si>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</si>
  <si>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</si>
  <si>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</si>
  <si>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</si>
  <si>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</si>
  <si>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</si>
  <si>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</si>
  <si>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</si>
  <si>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</si>
  <si>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</si>
  <si>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</si>
  <si>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</si>
  <si>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</si>
  <si>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</si>
  <si>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</si>
  <si>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</si>
  <si>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</si>
  <si>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</si>
  <si>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</si>
  <si>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</si>
  <si>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</si>
  <si>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</si>
  <si>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</si>
  <si>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</si>
  <si>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</si>
  <si>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</si>
  <si>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</si>
  <si>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</si>
  <si>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</si>
  <si>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</si>
  <si>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</si>
  <si>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</si>
  <si>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</si>
  <si>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</si>
  <si>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</si>
  <si>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</si>
  <si>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</si>
  <si>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</si>
  <si>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</si>
  <si>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</si>
  <si>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</si>
  <si>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</si>
  <si>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</si>
  <si>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</si>
  <si>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</si>
  <si>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</si>
  <si>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</si>
  <si>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</si>
  <si>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</si>
  <si>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</si>
  <si>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</si>
  <si>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</si>
  <si>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</si>
  <si>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</si>
  <si>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</si>
  <si>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</si>
  <si>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</si>
  <si>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</si>
  <si>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</si>
  <si>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</si>
  <si>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</si>
  <si>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</si>
  <si>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</si>
  <si>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</si>
  <si>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</si>
  <si>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</si>
  <si>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</si>
  <si>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</si>
  <si>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</si>
  <si>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</si>
  <si>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</si>
  <si>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</si>
  <si>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</si>
  <si>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</si>
  <si>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</si>
  <si>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</si>
  <si>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</si>
  <si>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</si>
  <si>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</si>
  <si>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</si>
  <si>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</si>
  <si>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</si>
  <si>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</si>
  <si>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</si>
  <si>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</si>
  <si>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</si>
  <si>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</si>
  <si>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</si>
  <si>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</si>
  <si>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</si>
  <si>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</si>
  <si>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</si>
  <si>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</si>
  <si>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</si>
  <si>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</si>
  <si>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</si>
  <si>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</si>
  <si>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</si>
  <si>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</si>
  <si>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</si>
  <si>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</si>
  <si>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</si>
  <si>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</si>
  <si>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</si>
  <si>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</si>
  <si>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</si>
  <si>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</si>
  <si>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</si>
  <si>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</si>
  <si>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</si>
  <si>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</si>
  <si>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</si>
  <si>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</si>
  <si>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</si>
  <si>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</si>
  <si>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</si>
  <si>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</si>
  <si>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</si>
  <si>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</si>
  <si>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</si>
  <si>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</si>
  <si>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</si>
  <si>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</si>
  <si>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</si>
  <si>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</si>
  <si>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</si>
  <si>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</si>
  <si>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</si>
  <si>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</si>
  <si>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</si>
  <si>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</si>
  <si>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</si>
  <si>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</si>
  <si>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</si>
  <si>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</si>
  <si>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</si>
  <si>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</si>
  <si>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</si>
  <si>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</si>
  <si>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</si>
  <si>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</si>
  <si>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</si>
  <si>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</si>
  <si>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</si>
  <si>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</si>
  <si>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23.03.2016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</si>
  <si>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22.03.16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</si>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</sst>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7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26" fillId="0" borderId="0">
      <alignment/>
      <protection/>
    </xf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3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4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8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5" fillId="13" borderId="18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97"/>
  <sheetViews>
    <sheetView tabSelected="1" zoomScale="82" zoomScaleNormal="82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94" sqref="E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187" t="s">
        <v>146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92"/>
      <c r="R1" s="93"/>
    </row>
    <row r="2" spans="2:18" s="1" customFormat="1" ht="15.75" customHeight="1">
      <c r="B2" s="188"/>
      <c r="C2" s="188"/>
      <c r="D2" s="18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89"/>
      <c r="B3" s="191"/>
      <c r="C3" s="192" t="s">
        <v>0</v>
      </c>
      <c r="D3" s="193" t="s">
        <v>121</v>
      </c>
      <c r="E3" s="34"/>
      <c r="F3" s="194" t="s">
        <v>26</v>
      </c>
      <c r="G3" s="195"/>
      <c r="H3" s="195"/>
      <c r="I3" s="195"/>
      <c r="J3" s="196"/>
      <c r="K3" s="89"/>
      <c r="L3" s="89"/>
      <c r="M3" s="197" t="s">
        <v>149</v>
      </c>
      <c r="N3" s="200" t="s">
        <v>143</v>
      </c>
      <c r="O3" s="200"/>
      <c r="P3" s="200"/>
      <c r="Q3" s="200"/>
      <c r="R3" s="200"/>
    </row>
    <row r="4" spans="1:18" ht="22.5" customHeight="1">
      <c r="A4" s="189"/>
      <c r="B4" s="191"/>
      <c r="C4" s="192"/>
      <c r="D4" s="193"/>
      <c r="E4" s="201" t="s">
        <v>148</v>
      </c>
      <c r="F4" s="203" t="s">
        <v>34</v>
      </c>
      <c r="G4" s="205" t="s">
        <v>141</v>
      </c>
      <c r="H4" s="198" t="s">
        <v>142</v>
      </c>
      <c r="I4" s="205" t="s">
        <v>122</v>
      </c>
      <c r="J4" s="198" t="s">
        <v>123</v>
      </c>
      <c r="K4" s="91" t="s">
        <v>65</v>
      </c>
      <c r="L4" s="96" t="s">
        <v>64</v>
      </c>
      <c r="M4" s="198"/>
      <c r="N4" s="207" t="s">
        <v>147</v>
      </c>
      <c r="O4" s="205" t="s">
        <v>50</v>
      </c>
      <c r="P4" s="209" t="s">
        <v>49</v>
      </c>
      <c r="Q4" s="97" t="s">
        <v>65</v>
      </c>
      <c r="R4" s="98" t="s">
        <v>64</v>
      </c>
    </row>
    <row r="5" spans="1:18" ht="92.25" customHeight="1">
      <c r="A5" s="190"/>
      <c r="B5" s="191"/>
      <c r="C5" s="192"/>
      <c r="D5" s="193"/>
      <c r="E5" s="202"/>
      <c r="F5" s="204"/>
      <c r="G5" s="206"/>
      <c r="H5" s="199"/>
      <c r="I5" s="206"/>
      <c r="J5" s="199"/>
      <c r="K5" s="210" t="s">
        <v>144</v>
      </c>
      <c r="L5" s="211"/>
      <c r="M5" s="199"/>
      <c r="N5" s="208"/>
      <c r="O5" s="206"/>
      <c r="P5" s="209"/>
      <c r="Q5" s="210" t="s">
        <v>120</v>
      </c>
      <c r="R5" s="21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178724.58</v>
      </c>
      <c r="G8" s="15">
        <f aca="true" t="shared" si="0" ref="G8:G21">F8-E8</f>
        <v>-21589.600000000035</v>
      </c>
      <c r="H8" s="38">
        <f>F8/E8*100</f>
        <v>89.22213095448357</v>
      </c>
      <c r="I8" s="28">
        <f>F8-D8</f>
        <v>-662325.42</v>
      </c>
      <c r="J8" s="28">
        <f>F8/D8*100</f>
        <v>21.250172998038163</v>
      </c>
      <c r="K8" s="15">
        <f>F8-139482.78</f>
        <v>39241.79999999999</v>
      </c>
      <c r="L8" s="15">
        <f>F8/139482.78*100</f>
        <v>128.13379544055545</v>
      </c>
      <c r="M8" s="15">
        <f>M9+M15+M18+M19+M20+M32+M17</f>
        <v>77601.41</v>
      </c>
      <c r="N8" s="15">
        <f>N9+N15+N18+N19+N20+N32+N17</f>
        <v>38301.554999999986</v>
      </c>
      <c r="O8" s="15">
        <f>N8-M8</f>
        <v>-39299.85500000002</v>
      </c>
      <c r="P8" s="15">
        <f>N8/M8*100</f>
        <v>49.35677715134298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98299.89</v>
      </c>
      <c r="G9" s="36">
        <f t="shared" si="0"/>
        <v>-7683.380000000005</v>
      </c>
      <c r="H9" s="32">
        <f>F9/E9*100</f>
        <v>92.75038409364043</v>
      </c>
      <c r="I9" s="42">
        <f>F9-D9</f>
        <v>-361400.11</v>
      </c>
      <c r="J9" s="42">
        <f>F9/D9*100</f>
        <v>21.383487056776158</v>
      </c>
      <c r="K9" s="106">
        <f>F9-78437.5</f>
        <v>19862.39</v>
      </c>
      <c r="L9" s="106">
        <f>F9/78437.5*100</f>
        <v>125.32256892430279</v>
      </c>
      <c r="M9" s="32">
        <f>E9-лютий!E9</f>
        <v>45393.005000000005</v>
      </c>
      <c r="N9" s="178">
        <f>F9-лютий!F9</f>
        <v>27975.289999999994</v>
      </c>
      <c r="O9" s="40">
        <f>N9-M9</f>
        <v>-17417.71500000001</v>
      </c>
      <c r="P9" s="42">
        <f>N9/M9*100</f>
        <v>61.62907699104739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87776.3</v>
      </c>
      <c r="G10" s="109">
        <f t="shared" si="0"/>
        <v>-6840.539999999994</v>
      </c>
      <c r="H10" s="32">
        <f aca="true" t="shared" si="1" ref="H10:H31">F10/E10*100</f>
        <v>92.77027218410592</v>
      </c>
      <c r="I10" s="110">
        <f aca="true" t="shared" si="2" ref="I10:I32">F10-D10</f>
        <v>-323663.7</v>
      </c>
      <c r="J10" s="110">
        <f aca="true" t="shared" si="3" ref="J10:J31">F10/D10*100</f>
        <v>21.33392475209022</v>
      </c>
      <c r="K10" s="112">
        <f>F10-69239.48</f>
        <v>18536.820000000007</v>
      </c>
      <c r="L10" s="112">
        <f>F10/69239.48*100</f>
        <v>126.77203814933331</v>
      </c>
      <c r="M10" s="111">
        <f>E10-лютий!E10</f>
        <v>40243</v>
      </c>
      <c r="N10" s="179">
        <f>F10-лютий!F10</f>
        <v>25562.350000000006</v>
      </c>
      <c r="O10" s="112">
        <f aca="true" t="shared" si="4" ref="O10:O32">N10-M10</f>
        <v>-14680.649999999994</v>
      </c>
      <c r="P10" s="42">
        <f aca="true" t="shared" si="5" ref="P10:P25">N10/M10*100</f>
        <v>63.51999105434487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6395.11</v>
      </c>
      <c r="G11" s="109">
        <f t="shared" si="0"/>
        <v>-689.8299999999999</v>
      </c>
      <c r="H11" s="32">
        <f t="shared" si="1"/>
        <v>90.26343201212713</v>
      </c>
      <c r="I11" s="110">
        <f t="shared" si="2"/>
        <v>-16604.89</v>
      </c>
      <c r="J11" s="110">
        <f t="shared" si="3"/>
        <v>27.80482608695652</v>
      </c>
      <c r="K11" s="112">
        <f>F11-4902.53</f>
        <v>1492.58</v>
      </c>
      <c r="L11" s="112">
        <f>F11/4902.53*100</f>
        <v>130.4450967153694</v>
      </c>
      <c r="M11" s="111">
        <f>E11-лютий!E11</f>
        <v>3149.9999999999995</v>
      </c>
      <c r="N11" s="179">
        <f>F11-лютий!F11</f>
        <v>1075.9499999999998</v>
      </c>
      <c r="O11" s="112">
        <f t="shared" si="4"/>
        <v>-2074.0499999999997</v>
      </c>
      <c r="P11" s="42">
        <f t="shared" si="5"/>
        <v>34.15714285714286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1311.46</v>
      </c>
      <c r="G12" s="109">
        <f t="shared" si="0"/>
        <v>205.85000000000014</v>
      </c>
      <c r="H12" s="32">
        <f t="shared" si="1"/>
        <v>118.61868109007699</v>
      </c>
      <c r="I12" s="110">
        <f t="shared" si="2"/>
        <v>-5188.54</v>
      </c>
      <c r="J12" s="110">
        <f t="shared" si="3"/>
        <v>20.176307692307695</v>
      </c>
      <c r="K12" s="112">
        <f>F12-1215.38</f>
        <v>96.07999999999993</v>
      </c>
      <c r="L12" s="112">
        <f>F12/1215.38*100</f>
        <v>107.90534647599928</v>
      </c>
      <c r="M12" s="111">
        <f>E12-лютий!E12</f>
        <v>479.9999999999999</v>
      </c>
      <c r="N12" s="179">
        <f>F12-лютий!F12</f>
        <v>489.43000000000006</v>
      </c>
      <c r="O12" s="112">
        <f t="shared" si="4"/>
        <v>9.430000000000177</v>
      </c>
      <c r="P12" s="42">
        <f t="shared" si="5"/>
        <v>101.96458333333338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1880.17</v>
      </c>
      <c r="G13" s="109">
        <f t="shared" si="0"/>
        <v>-29.669999999999845</v>
      </c>
      <c r="H13" s="32">
        <f t="shared" si="1"/>
        <v>98.44646671972522</v>
      </c>
      <c r="I13" s="110">
        <f t="shared" si="2"/>
        <v>-10519.83</v>
      </c>
      <c r="J13" s="110">
        <f t="shared" si="3"/>
        <v>15.162661290322582</v>
      </c>
      <c r="K13" s="112">
        <f>F13-1220.33</f>
        <v>659.8400000000001</v>
      </c>
      <c r="L13" s="112">
        <f>F13/1220.33*100</f>
        <v>154.07062024206567</v>
      </c>
      <c r="M13" s="111">
        <f>E13-лютий!E13</f>
        <v>880.0049999999999</v>
      </c>
      <c r="N13" s="179">
        <f>F13-лютий!F13</f>
        <v>365.68000000000006</v>
      </c>
      <c r="O13" s="112">
        <f t="shared" si="4"/>
        <v>-514.3249999999998</v>
      </c>
      <c r="P13" s="42">
        <f t="shared" si="5"/>
        <v>41.55430935051507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936.84</v>
      </c>
      <c r="G14" s="109">
        <f t="shared" si="0"/>
        <v>-329.19999999999993</v>
      </c>
      <c r="H14" s="32">
        <f t="shared" si="1"/>
        <v>73.99766200120061</v>
      </c>
      <c r="I14" s="110">
        <f t="shared" si="2"/>
        <v>-5423.16</v>
      </c>
      <c r="J14" s="110">
        <f t="shared" si="3"/>
        <v>14.730188679245284</v>
      </c>
      <c r="K14" s="112">
        <f>F14-1859.78</f>
        <v>-922.9399999999999</v>
      </c>
      <c r="L14" s="112">
        <f>F14/1859.78*100</f>
        <v>50.37370011506738</v>
      </c>
      <c r="M14" s="111">
        <f>E14-лютий!E14</f>
        <v>640</v>
      </c>
      <c r="N14" s="179">
        <f>F14-лютий!F14</f>
        <v>481.87</v>
      </c>
      <c r="O14" s="112">
        <f t="shared" si="4"/>
        <v>-158.13</v>
      </c>
      <c r="P14" s="42">
        <f t="shared" si="5"/>
        <v>75.2921875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184.32</v>
      </c>
      <c r="G15" s="36">
        <f t="shared" si="0"/>
        <v>74.32</v>
      </c>
      <c r="H15" s="32"/>
      <c r="I15" s="42">
        <f t="shared" si="2"/>
        <v>-315.68</v>
      </c>
      <c r="J15" s="42">
        <f t="shared" si="3"/>
        <v>36.864</v>
      </c>
      <c r="K15" s="43">
        <f>F15-(-1019.98)</f>
        <v>1204.3</v>
      </c>
      <c r="L15" s="43">
        <f>F15/(-1019.98)*100</f>
        <v>-18.070942567501323</v>
      </c>
      <c r="M15" s="32">
        <f>E15-лютий!E15</f>
        <v>110</v>
      </c>
      <c r="N15" s="178">
        <f>F15-лютий!F15</f>
        <v>99.18499999999999</v>
      </c>
      <c r="O15" s="40">
        <f t="shared" si="4"/>
        <v>-10.815000000000012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12371.03</v>
      </c>
      <c r="G19" s="36">
        <f t="shared" si="0"/>
        <v>-7689.370000000001</v>
      </c>
      <c r="H19" s="32">
        <f t="shared" si="1"/>
        <v>61.668909892125775</v>
      </c>
      <c r="I19" s="42">
        <f t="shared" si="2"/>
        <v>-97528.97</v>
      </c>
      <c r="J19" s="42">
        <f t="shared" si="3"/>
        <v>11.256624203821657</v>
      </c>
      <c r="K19" s="185">
        <f>F19-10070.48</f>
        <v>2300.550000000001</v>
      </c>
      <c r="L19" s="185">
        <f>F19/10070.48*100</f>
        <v>122.84449202024135</v>
      </c>
      <c r="M19" s="32">
        <f>E19-лютий!E19</f>
        <v>8000.000000000002</v>
      </c>
      <c r="N19" s="178">
        <f>F19-лютий!F19</f>
        <v>1510.0300000000007</v>
      </c>
      <c r="O19" s="40">
        <f t="shared" si="4"/>
        <v>-6489.970000000001</v>
      </c>
      <c r="P19" s="42">
        <f t="shared" si="5"/>
        <v>18.875375000000002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67763.20999999999</v>
      </c>
      <c r="G20" s="36">
        <f t="shared" si="0"/>
        <v>-6387.3000000000175</v>
      </c>
      <c r="H20" s="32">
        <f t="shared" si="1"/>
        <v>91.38603362269522</v>
      </c>
      <c r="I20" s="42">
        <f t="shared" si="2"/>
        <v>-203176.79</v>
      </c>
      <c r="J20" s="42">
        <f t="shared" si="3"/>
        <v>25.0104118993135</v>
      </c>
      <c r="K20" s="132">
        <f>F20-49978.98</f>
        <v>17784.22999999999</v>
      </c>
      <c r="L20" s="110">
        <f>F20/49978.98*100</f>
        <v>135.58341926946085</v>
      </c>
      <c r="M20" s="32">
        <f>M21+M25+M26+M27</f>
        <v>24098.405</v>
      </c>
      <c r="N20" s="178">
        <f>F20-лютий!F20</f>
        <v>8716.76999999999</v>
      </c>
      <c r="O20" s="40">
        <f t="shared" si="4"/>
        <v>-15381.63500000001</v>
      </c>
      <c r="P20" s="42">
        <f t="shared" si="5"/>
        <v>36.1715640516457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30393.65</v>
      </c>
      <c r="G21" s="36">
        <f t="shared" si="0"/>
        <v>-6447.610000000001</v>
      </c>
      <c r="H21" s="32">
        <f t="shared" si="1"/>
        <v>82.49894276145821</v>
      </c>
      <c r="I21" s="42">
        <f t="shared" si="2"/>
        <v>-131006.35</v>
      </c>
      <c r="J21" s="42">
        <f t="shared" si="3"/>
        <v>18.83125774473358</v>
      </c>
      <c r="K21" s="132">
        <f>F21-24610.26</f>
        <v>5783.390000000003</v>
      </c>
      <c r="L21" s="110">
        <f>F21/24610.26*100</f>
        <v>123.49991426340073</v>
      </c>
      <c r="M21" s="32">
        <f>M22+M23+M24</f>
        <v>13345</v>
      </c>
      <c r="N21" s="178">
        <f>F21-лютий!F21</f>
        <v>4909.600000000002</v>
      </c>
      <c r="O21" s="40">
        <f t="shared" si="4"/>
        <v>-8435.399999999998</v>
      </c>
      <c r="P21" s="42">
        <f t="shared" si="5"/>
        <v>36.78980891719747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3741.45</v>
      </c>
      <c r="G22" s="109">
        <f>F22-E22</f>
        <v>209.8499999999999</v>
      </c>
      <c r="H22" s="111">
        <f t="shared" si="1"/>
        <v>105.94206591913013</v>
      </c>
      <c r="I22" s="110">
        <f t="shared" si="2"/>
        <v>-14758.55</v>
      </c>
      <c r="J22" s="110">
        <f t="shared" si="3"/>
        <v>20.22405405405405</v>
      </c>
      <c r="K22" s="174">
        <f>F22-526.28</f>
        <v>3215.17</v>
      </c>
      <c r="L22" s="174">
        <f>F22/526.28*100</f>
        <v>710.9238428213118</v>
      </c>
      <c r="M22" s="111">
        <f>E22-лютий!E22</f>
        <v>240</v>
      </c>
      <c r="N22" s="179">
        <f>F22-лютий!F22</f>
        <v>188.67999999999984</v>
      </c>
      <c r="O22" s="112">
        <f t="shared" si="4"/>
        <v>-51.320000000000164</v>
      </c>
      <c r="P22" s="110">
        <f t="shared" si="5"/>
        <v>78.6166666666666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312.05</v>
      </c>
      <c r="G23" s="109">
        <f>F23-E23</f>
        <v>110.21000000000001</v>
      </c>
      <c r="H23" s="111">
        <f t="shared" si="1"/>
        <v>154.60265556876735</v>
      </c>
      <c r="I23" s="110">
        <f t="shared" si="2"/>
        <v>-2487.95</v>
      </c>
      <c r="J23" s="110">
        <f t="shared" si="3"/>
        <v>11.144642857142857</v>
      </c>
      <c r="K23" s="110">
        <f>F23-37.7</f>
        <v>274.35</v>
      </c>
      <c r="L23" s="110">
        <f>F23/37.7*100</f>
        <v>827.7188328912466</v>
      </c>
      <c r="M23" s="111">
        <f>E23-лютий!E23</f>
        <v>0</v>
      </c>
      <c r="N23" s="179">
        <f>F23-лютий!F23</f>
        <v>137.84</v>
      </c>
      <c r="O23" s="112">
        <f t="shared" si="4"/>
        <v>137.84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26340.15</v>
      </c>
      <c r="G24" s="109">
        <f>F24-E24</f>
        <v>-6767.669999999998</v>
      </c>
      <c r="H24" s="111">
        <f t="shared" si="1"/>
        <v>79.55869640465608</v>
      </c>
      <c r="I24" s="110">
        <f t="shared" si="2"/>
        <v>-113759.85</v>
      </c>
      <c r="J24" s="110">
        <f t="shared" si="3"/>
        <v>18.80096359743041</v>
      </c>
      <c r="K24" s="174">
        <f>F24-24046.28</f>
        <v>2293.8700000000026</v>
      </c>
      <c r="L24" s="174">
        <f>F24/24046.28*100</f>
        <v>109.53939653035731</v>
      </c>
      <c r="M24" s="111">
        <f>E24-лютий!E24</f>
        <v>13105</v>
      </c>
      <c r="N24" s="179">
        <f>F24-лютий!F24</f>
        <v>4583.080000000002</v>
      </c>
      <c r="O24" s="112">
        <f t="shared" si="4"/>
        <v>-8521.919999999998</v>
      </c>
      <c r="P24" s="110">
        <f t="shared" si="5"/>
        <v>34.971995421594826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20.81</v>
      </c>
      <c r="G25" s="36">
        <f>F25-E25</f>
        <v>6.799999999999999</v>
      </c>
      <c r="H25" s="32">
        <f t="shared" si="1"/>
        <v>148.53675945753034</v>
      </c>
      <c r="I25" s="42">
        <f t="shared" si="2"/>
        <v>-56.19</v>
      </c>
      <c r="J25" s="42">
        <f t="shared" si="3"/>
        <v>27.025974025974026</v>
      </c>
      <c r="K25" s="132">
        <f>F25-17.62</f>
        <v>3.1899999999999977</v>
      </c>
      <c r="L25" s="132">
        <f>F25/17.62*100</f>
        <v>118.10442678774118</v>
      </c>
      <c r="M25" s="32">
        <f>E25-лютий!E25</f>
        <v>3.4049999999999994</v>
      </c>
      <c r="N25" s="178">
        <f>F25-лютий!F25</f>
        <v>0</v>
      </c>
      <c r="O25" s="40">
        <f t="shared" si="4"/>
        <v>-3.4049999999999994</v>
      </c>
      <c r="P25" s="42">
        <f t="shared" si="5"/>
        <v>0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-64.57</v>
      </c>
      <c r="G26" s="36">
        <f aca="true" t="shared" si="6" ref="G26:G32">F26-E26</f>
        <v>-64.57</v>
      </c>
      <c r="H26" s="32"/>
      <c r="I26" s="42">
        <f t="shared" si="2"/>
        <v>-64.57</v>
      </c>
      <c r="J26" s="42"/>
      <c r="K26" s="132">
        <f>F26-12.89</f>
        <v>-77.46</v>
      </c>
      <c r="L26" s="132">
        <f>F26/12.89*100</f>
        <v>-500.9309542280837</v>
      </c>
      <c r="M26" s="32">
        <f>E26-лютий!E26</f>
        <v>0</v>
      </c>
      <c r="N26" s="178">
        <f>F26-лютий!F26</f>
        <v>-11.639999999999993</v>
      </c>
      <c r="O26" s="40">
        <f t="shared" si="4"/>
        <v>-11.639999999999993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37413.32</v>
      </c>
      <c r="G27" s="36">
        <f t="shared" si="6"/>
        <v>118.08000000000175</v>
      </c>
      <c r="H27" s="32">
        <f t="shared" si="1"/>
        <v>100.31660876830395</v>
      </c>
      <c r="I27" s="42">
        <f t="shared" si="2"/>
        <v>-72049.68</v>
      </c>
      <c r="J27" s="42">
        <f t="shared" si="3"/>
        <v>34.17896458163946</v>
      </c>
      <c r="K27" s="106">
        <f>F27-25338.21</f>
        <v>12075.11</v>
      </c>
      <c r="L27" s="106">
        <f>F27/25338.21*100</f>
        <v>147.6557341659099</v>
      </c>
      <c r="M27" s="32">
        <f>E27-лютий!E27</f>
        <v>10749.999999999996</v>
      </c>
      <c r="N27" s="178">
        <f>F27-лютий!F27</f>
        <v>3818.8099999999977</v>
      </c>
      <c r="O27" s="40">
        <f t="shared" si="4"/>
        <v>-6931.189999999999</v>
      </c>
      <c r="P27" s="42">
        <f>N27/M27*100</f>
        <v>35.523813953488364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6"/>
        <v>0.07</v>
      </c>
      <c r="H28" s="111"/>
      <c r="I28" s="110">
        <f t="shared" si="2"/>
        <v>0.07</v>
      </c>
      <c r="J28" s="110"/>
      <c r="K28" s="142">
        <f>F28-(-1.24)</f>
        <v>1.31</v>
      </c>
      <c r="L28" s="142"/>
      <c r="M28" s="111">
        <f>E28-лютий!E28</f>
        <v>0</v>
      </c>
      <c r="N28" s="179">
        <f>F28-лютий!F28</f>
        <v>0</v>
      </c>
      <c r="O28" s="112">
        <f t="shared" si="4"/>
        <v>0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9335.97</v>
      </c>
      <c r="F29" s="171">
        <v>9370.55</v>
      </c>
      <c r="G29" s="109">
        <f t="shared" si="6"/>
        <v>34.57999999999993</v>
      </c>
      <c r="H29" s="111">
        <f t="shared" si="1"/>
        <v>100.37039536330987</v>
      </c>
      <c r="I29" s="110">
        <f t="shared" si="2"/>
        <v>-18229.45</v>
      </c>
      <c r="J29" s="110">
        <f t="shared" si="3"/>
        <v>33.95126811594202</v>
      </c>
      <c r="K29" s="142">
        <f>F29-6631.29</f>
        <v>2739.2599999999993</v>
      </c>
      <c r="L29" s="142">
        <f>F29/6631.29*100</f>
        <v>141.30810144029292</v>
      </c>
      <c r="M29" s="111">
        <f>E29-лютий!E29</f>
        <v>3679.999999999999</v>
      </c>
      <c r="N29" s="179">
        <f>F29-лютий!F29</f>
        <v>691.2799999999988</v>
      </c>
      <c r="O29" s="112">
        <f t="shared" si="4"/>
        <v>-2988.7200000000003</v>
      </c>
      <c r="P29" s="110">
        <f>N29/M29*100</f>
        <v>18.784782608695625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28035.2</v>
      </c>
      <c r="G30" s="109">
        <f t="shared" si="6"/>
        <v>99.11999999999898</v>
      </c>
      <c r="H30" s="111">
        <f t="shared" si="1"/>
        <v>100.35480998049833</v>
      </c>
      <c r="I30" s="110">
        <f t="shared" si="2"/>
        <v>-53776.8</v>
      </c>
      <c r="J30" s="110">
        <f t="shared" si="3"/>
        <v>34.267833569647486</v>
      </c>
      <c r="K30" s="142">
        <f>F30-18703.62</f>
        <v>9331.580000000002</v>
      </c>
      <c r="L30" s="142">
        <f>F30/18603.62*100</f>
        <v>150.69755241184245</v>
      </c>
      <c r="M30" s="111">
        <f>E30-лютий!E30</f>
        <v>7050</v>
      </c>
      <c r="N30" s="179">
        <f>F30-лютий!F30</f>
        <v>3127.5300000000025</v>
      </c>
      <c r="O30" s="112">
        <f t="shared" si="4"/>
        <v>-3922.4699999999975</v>
      </c>
      <c r="P30" s="110">
        <f>N30/M30*100</f>
        <v>44.362127659574504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7.49</v>
      </c>
      <c r="G31" s="109">
        <f t="shared" si="6"/>
        <v>4.300000000000001</v>
      </c>
      <c r="H31" s="111">
        <f t="shared" si="1"/>
        <v>234.79623824451411</v>
      </c>
      <c r="I31" s="110">
        <f t="shared" si="2"/>
        <v>-43.51</v>
      </c>
      <c r="J31" s="110">
        <f t="shared" si="3"/>
        <v>14.686274509803923</v>
      </c>
      <c r="K31" s="142">
        <f>F31-4.54</f>
        <v>2.95</v>
      </c>
      <c r="L31" s="142">
        <f>F31/4.54*100</f>
        <v>164.97797356828195</v>
      </c>
      <c r="M31" s="111">
        <f>E31-лютий!E31</f>
        <v>-0.0030000000000001137</v>
      </c>
      <c r="N31" s="179">
        <f>F31-лютий!F31</f>
        <v>0</v>
      </c>
      <c r="O31" s="112">
        <f t="shared" si="4"/>
        <v>0.0030000000000001137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0.28</v>
      </c>
      <c r="G32" s="36">
        <f t="shared" si="6"/>
        <v>0.28</v>
      </c>
      <c r="H32" s="32"/>
      <c r="I32" s="42">
        <f t="shared" si="2"/>
        <v>0.28</v>
      </c>
      <c r="J32" s="42"/>
      <c r="K32" s="132">
        <f>F32-1999.9</f>
        <v>-1999.6200000000001</v>
      </c>
      <c r="L32" s="132">
        <f>F32/1999.24*100</f>
        <v>0.0140053220223685</v>
      </c>
      <c r="M32" s="32">
        <v>0</v>
      </c>
      <c r="N32" s="178">
        <f>F32-лютий!F32</f>
        <v>0.28</v>
      </c>
      <c r="O32" s="40">
        <f t="shared" si="4"/>
        <v>0.28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10031.32</v>
      </c>
      <c r="G33" s="15">
        <f>G34+G35+G36+G37+G38+G39+G41+G42+G43+G44+G45+G50+G51+G55</f>
        <v>-478.69100000000003</v>
      </c>
      <c r="H33" s="38">
        <f>F33/E33*100</f>
        <v>95.44519897229607</v>
      </c>
      <c r="I33" s="28">
        <f>F33-D33</f>
        <v>-32788.68</v>
      </c>
      <c r="J33" s="28">
        <f>F33/D33*100</f>
        <v>23.426716487622606</v>
      </c>
      <c r="K33" s="15">
        <f>F33-7649.28</f>
        <v>2382.04</v>
      </c>
      <c r="L33" s="15">
        <f>F33/7649.28*100</f>
        <v>131.14070866800535</v>
      </c>
      <c r="M33" s="15">
        <f>M34+M35+M36+M37+M38+M39+M41+M42+M43+M44+M45+M50+M51+M55</f>
        <v>5575.005</v>
      </c>
      <c r="N33" s="15">
        <f>N34+N35+N36+N37+N38+N39+N41+N42+N43+N44+N45+N50+N51+N55</f>
        <v>5114.879999999999</v>
      </c>
      <c r="O33" s="15">
        <f>O34+O35+O36+O37+O38+O39+O41+O42+O43+O44+O45+O50+O51+O55</f>
        <v>-460.12499999999966</v>
      </c>
      <c r="P33" s="15">
        <f>N33/M33*100</f>
        <v>91.74664417341329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94.65</v>
      </c>
      <c r="G34" s="36">
        <f>F34-E34</f>
        <v>43.650000000000006</v>
      </c>
      <c r="H34" s="32">
        <f aca="true" t="shared" si="7" ref="H34:H56">F34/E34*100</f>
        <v>185.58823529411765</v>
      </c>
      <c r="I34" s="42">
        <f>F34-D34</f>
        <v>-5.349999999999994</v>
      </c>
      <c r="J34" s="42">
        <f>F34/D34*100</f>
        <v>94.65</v>
      </c>
      <c r="K34" s="42">
        <f>F34-(-3.69)</f>
        <v>98.34</v>
      </c>
      <c r="L34" s="42">
        <f>F34/(-3.69)*100</f>
        <v>-2565.040650406504</v>
      </c>
      <c r="M34" s="32">
        <f>E34-лютий!E34</f>
        <v>1</v>
      </c>
      <c r="N34" s="178">
        <f>F34-лютий!F34</f>
        <v>16.60000000000001</v>
      </c>
      <c r="O34" s="40">
        <f>N34-M34</f>
        <v>15.600000000000009</v>
      </c>
      <c r="P34" s="42">
        <f aca="true" t="shared" si="8" ref="P34:P56">N34/M34*100</f>
        <v>1660.000000000001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13.61</v>
      </c>
      <c r="G38" s="36">
        <f t="shared" si="9"/>
        <v>-16.39</v>
      </c>
      <c r="H38" s="32">
        <f t="shared" si="7"/>
        <v>45.36666666666667</v>
      </c>
      <c r="I38" s="42">
        <f t="shared" si="10"/>
        <v>-136.39</v>
      </c>
      <c r="J38" s="42">
        <f t="shared" si="12"/>
        <v>9.073333333333334</v>
      </c>
      <c r="K38" s="42">
        <f>F38-30.76</f>
        <v>-17.150000000000002</v>
      </c>
      <c r="L38" s="42">
        <f>F38/30.76*100</f>
        <v>44.24577373211963</v>
      </c>
      <c r="M38" s="32">
        <f>E38-лютий!E38</f>
        <v>10</v>
      </c>
      <c r="N38" s="178">
        <f>F38-лютий!F38</f>
        <v>9.959999999999999</v>
      </c>
      <c r="O38" s="40">
        <f t="shared" si="11"/>
        <v>-0.040000000000000924</v>
      </c>
      <c r="P38" s="42">
        <f t="shared" si="8"/>
        <v>99.6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2010.06</v>
      </c>
      <c r="G41" s="36">
        <f t="shared" si="9"/>
        <v>-128.96000000000004</v>
      </c>
      <c r="H41" s="32">
        <f t="shared" si="7"/>
        <v>93.97107086422754</v>
      </c>
      <c r="I41" s="42">
        <f t="shared" si="10"/>
        <v>-7889.9400000000005</v>
      </c>
      <c r="J41" s="42">
        <f t="shared" si="12"/>
        <v>20.30363636363636</v>
      </c>
      <c r="K41" s="42">
        <f>F41-2528.58</f>
        <v>-518.52</v>
      </c>
      <c r="L41" s="42">
        <f>F41/2528.58*100</f>
        <v>79.4936288351565</v>
      </c>
      <c r="M41" s="32">
        <f>E41-лютий!E41</f>
        <v>800.0049999999999</v>
      </c>
      <c r="N41" s="178">
        <f>F41-лютий!F41</f>
        <v>658.8899999999999</v>
      </c>
      <c r="O41" s="40">
        <f t="shared" si="11"/>
        <v>-141.115</v>
      </c>
      <c r="P41" s="42">
        <f t="shared" si="8"/>
        <v>82.36073524540471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1332.45</v>
      </c>
      <c r="G45" s="36">
        <f t="shared" si="9"/>
        <v>-40.74000000000001</v>
      </c>
      <c r="H45" s="32">
        <f t="shared" si="7"/>
        <v>97.03318550237039</v>
      </c>
      <c r="I45" s="42">
        <f t="shared" si="10"/>
        <v>-5967.55</v>
      </c>
      <c r="J45" s="42">
        <f t="shared" si="12"/>
        <v>18.252739726027396</v>
      </c>
      <c r="K45" s="132">
        <f>F45-2181.98</f>
        <v>-849.53</v>
      </c>
      <c r="L45" s="132">
        <f>F45/2181.98*100</f>
        <v>61.066095931218435</v>
      </c>
      <c r="M45" s="32">
        <f>E45-лютий!E45</f>
        <v>477</v>
      </c>
      <c r="N45" s="178">
        <f>F45-лютий!F45</f>
        <v>367.2900000000001</v>
      </c>
      <c r="O45" s="40">
        <f t="shared" si="11"/>
        <v>-109.70999999999992</v>
      </c>
      <c r="P45" s="132">
        <f t="shared" si="8"/>
        <v>77.00000000000001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139.08</v>
      </c>
      <c r="G46" s="36">
        <f t="shared" si="9"/>
        <v>-49.91</v>
      </c>
      <c r="H46" s="32">
        <f t="shared" si="7"/>
        <v>73.5911953013387</v>
      </c>
      <c r="I46" s="110">
        <f t="shared" si="10"/>
        <v>-960.92</v>
      </c>
      <c r="J46" s="42">
        <f t="shared" si="12"/>
        <v>12.643636363636364</v>
      </c>
      <c r="K46" s="110">
        <f>F46-216.18</f>
        <v>-77.1</v>
      </c>
      <c r="L46" s="110">
        <f>F46/216.18*100</f>
        <v>64.3352761587566</v>
      </c>
      <c r="M46" s="32">
        <f>E46-лютий!E46</f>
        <v>76.00000000000001</v>
      </c>
      <c r="N46" s="178">
        <f>F46-лютий!F46</f>
        <v>53.650000000000006</v>
      </c>
      <c r="O46" s="112">
        <f t="shared" si="11"/>
        <v>-22.35000000000001</v>
      </c>
      <c r="P46" s="132">
        <f t="shared" si="8"/>
        <v>70.59210526315789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1193.25</v>
      </c>
      <c r="G49" s="36">
        <f t="shared" si="9"/>
        <v>11.079999999999927</v>
      </c>
      <c r="H49" s="32">
        <f t="shared" si="7"/>
        <v>100.9372594466109</v>
      </c>
      <c r="I49" s="110">
        <f t="shared" si="10"/>
        <v>-4960.75</v>
      </c>
      <c r="J49" s="42">
        <f t="shared" si="12"/>
        <v>19.389827754306143</v>
      </c>
      <c r="K49" s="110">
        <f>F49-1921.57</f>
        <v>-728.3199999999999</v>
      </c>
      <c r="L49" s="110">
        <f>F49/1921.57*100</f>
        <v>62.097659726161424</v>
      </c>
      <c r="M49" s="32">
        <f>E49-лютий!E49</f>
        <v>400.0000000000001</v>
      </c>
      <c r="N49" s="178">
        <f>F49-лютий!F49</f>
        <v>314.6</v>
      </c>
      <c r="O49" s="112">
        <f t="shared" si="11"/>
        <v>-85.40000000000009</v>
      </c>
      <c r="P49" s="132">
        <f t="shared" si="8"/>
        <v>78.64999999999999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977.85</v>
      </c>
      <c r="G51" s="36">
        <f t="shared" si="9"/>
        <v>-30.129999999999995</v>
      </c>
      <c r="H51" s="32">
        <f t="shared" si="7"/>
        <v>97.01085338994821</v>
      </c>
      <c r="I51" s="42">
        <f t="shared" si="10"/>
        <v>-3822.15</v>
      </c>
      <c r="J51" s="42">
        <f t="shared" si="12"/>
        <v>20.371875</v>
      </c>
      <c r="K51" s="42">
        <f>F51-960.47</f>
        <v>17.379999999999995</v>
      </c>
      <c r="L51" s="42">
        <f>F51/960.47*100</f>
        <v>101.80953075057005</v>
      </c>
      <c r="M51" s="32">
        <f>E51-лютий!E51</f>
        <v>370</v>
      </c>
      <c r="N51" s="178">
        <f>F51-лютий!F51</f>
        <v>255.19000000000005</v>
      </c>
      <c r="O51" s="40">
        <f t="shared" si="11"/>
        <v>-114.80999999999995</v>
      </c>
      <c r="P51" s="42">
        <f t="shared" si="8"/>
        <v>68.97027027027029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215.7</v>
      </c>
      <c r="G53" s="36"/>
      <c r="H53" s="32"/>
      <c r="I53" s="42"/>
      <c r="J53" s="42"/>
      <c r="K53" s="112">
        <f>F53-239.6</f>
        <v>-23.900000000000006</v>
      </c>
      <c r="L53" s="112">
        <f>F53/239.6*100</f>
        <v>90.02504173622704</v>
      </c>
      <c r="M53" s="111"/>
      <c r="N53" s="179">
        <f>F53-лютий!F53</f>
        <v>68.39999999999998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3.8</v>
      </c>
      <c r="G56" s="36">
        <f t="shared" si="9"/>
        <v>-1.5</v>
      </c>
      <c r="H56" s="32">
        <f t="shared" si="7"/>
        <v>71.69811320754717</v>
      </c>
      <c r="I56" s="42">
        <f t="shared" si="10"/>
        <v>-26.2</v>
      </c>
      <c r="J56" s="42">
        <f t="shared" si="12"/>
        <v>12.666666666666664</v>
      </c>
      <c r="K56" s="42">
        <f>F56-6.1</f>
        <v>-2.3</v>
      </c>
      <c r="L56" s="42">
        <f>F56/6.1*100</f>
        <v>62.295081967213115</v>
      </c>
      <c r="M56" s="32">
        <f>E56-лютий!E56</f>
        <v>2.3</v>
      </c>
      <c r="N56" s="178">
        <f>F56-лютий!F56</f>
        <v>0</v>
      </c>
      <c r="O56" s="40">
        <f t="shared" si="11"/>
        <v>-2.3</v>
      </c>
      <c r="P56" s="42">
        <f t="shared" si="8"/>
        <v>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188759.69999999998</v>
      </c>
      <c r="G58" s="37">
        <f>F58-E58</f>
        <v>-22069.811000000016</v>
      </c>
      <c r="H58" s="38">
        <f>F58/E58*100</f>
        <v>89.5319156719004</v>
      </c>
      <c r="I58" s="28">
        <f>F58-D58</f>
        <v>-695140.9</v>
      </c>
      <c r="J58" s="28">
        <f>F58/D58*100</f>
        <v>21.35530850414628</v>
      </c>
      <c r="K58" s="28">
        <f>F58-147138.18</f>
        <v>41621.51999999999</v>
      </c>
      <c r="L58" s="28">
        <f>F58/147138.18*100</f>
        <v>128.2873690567601</v>
      </c>
      <c r="M58" s="15">
        <f>M8+M33+M56+M57</f>
        <v>83178.71500000001</v>
      </c>
      <c r="N58" s="15">
        <f>N8+N33+N56+N57</f>
        <v>43416.43499999998</v>
      </c>
      <c r="O58" s="41">
        <f>N58-M58</f>
        <v>-39762.28000000003</v>
      </c>
      <c r="P58" s="28">
        <f>N58/M58*100</f>
        <v>52.19656855723244</v>
      </c>
      <c r="Q58" s="28">
        <f>N58-34768</f>
        <v>8648.434999999983</v>
      </c>
      <c r="R58" s="128">
        <f>N58/34768</f>
        <v>1.2487469799815918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0.13</v>
      </c>
      <c r="G67" s="36">
        <f aca="true" t="shared" si="13" ref="G67:G77">F67-E67</f>
        <v>-71.87</v>
      </c>
      <c r="H67" s="32"/>
      <c r="I67" s="43">
        <f aca="true" t="shared" si="14" ref="I67:I77">F67-D67</f>
        <v>-4199.87</v>
      </c>
      <c r="J67" s="43">
        <f>F67/D67*100</f>
        <v>0.0030952380952380953</v>
      </c>
      <c r="K67" s="43">
        <f>F67-33.47</f>
        <v>-33.339999999999996</v>
      </c>
      <c r="L67" s="43">
        <f>F67/33.47*100</f>
        <v>0.3884075291305647</v>
      </c>
      <c r="M67" s="32">
        <f>E67-лютий!E67</f>
        <v>72</v>
      </c>
      <c r="N67" s="178">
        <f>F67-лютий!F67</f>
        <v>0.03</v>
      </c>
      <c r="O67" s="40">
        <f aca="true" t="shared" si="15" ref="O67:O80">N67-M67</f>
        <v>-71.97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386.67</v>
      </c>
      <c r="G68" s="36">
        <f t="shared" si="13"/>
        <v>-1004.74</v>
      </c>
      <c r="H68" s="32">
        <f>F68/E68*100</f>
        <v>27.78979596236911</v>
      </c>
      <c r="I68" s="43">
        <f t="shared" si="14"/>
        <v>-7072.33</v>
      </c>
      <c r="J68" s="43">
        <f>F68/D68*100</f>
        <v>5.183938865799705</v>
      </c>
      <c r="K68" s="43">
        <f>F68-1409.78</f>
        <v>-1023.1099999999999</v>
      </c>
      <c r="L68" s="43">
        <f>F68/1409.78*100</f>
        <v>27.427683752074795</v>
      </c>
      <c r="M68" s="32">
        <f>E68-лютий!E68</f>
        <v>259.01</v>
      </c>
      <c r="N68" s="178">
        <f>F68-лютий!F68</f>
        <v>10</v>
      </c>
      <c r="O68" s="40">
        <f t="shared" si="15"/>
        <v>-249.01</v>
      </c>
      <c r="P68" s="43">
        <f>N68/M68*100</f>
        <v>3.8608547932512263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7684.29</v>
      </c>
      <c r="G69" s="36">
        <f t="shared" si="13"/>
        <v>6797.44</v>
      </c>
      <c r="H69" s="32">
        <f>F69/E69*100</f>
        <v>866.4700907707053</v>
      </c>
      <c r="I69" s="43">
        <f t="shared" si="14"/>
        <v>1684.29</v>
      </c>
      <c r="J69" s="43">
        <f>F69/D69*100</f>
        <v>128.07150000000001</v>
      </c>
      <c r="K69" s="43">
        <f>F69-11.06</f>
        <v>7673.23</v>
      </c>
      <c r="L69" s="43">
        <f>F69/11.06*100</f>
        <v>69478.20976491862</v>
      </c>
      <c r="M69" s="32">
        <f>E69-лютий!E69</f>
        <v>302</v>
      </c>
      <c r="N69" s="178">
        <f>F69-лютий!F69</f>
        <v>7037.45</v>
      </c>
      <c r="O69" s="40">
        <f t="shared" si="15"/>
        <v>6735.45</v>
      </c>
      <c r="P69" s="43">
        <f>N69/M69*100</f>
        <v>2330.281456953642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8074.09</v>
      </c>
      <c r="G71" s="45">
        <f t="shared" si="13"/>
        <v>5720.83</v>
      </c>
      <c r="H71" s="52">
        <f>F71/E71*100</f>
        <v>343.1023346336571</v>
      </c>
      <c r="I71" s="44">
        <f t="shared" si="14"/>
        <v>-9596.91</v>
      </c>
      <c r="J71" s="44">
        <f>F71/D71*100</f>
        <v>45.691188953652876</v>
      </c>
      <c r="K71" s="44">
        <f>F71-1454.31</f>
        <v>6619.780000000001</v>
      </c>
      <c r="L71" s="44">
        <f>F71/1454.31*100</f>
        <v>555.1835578384251</v>
      </c>
      <c r="M71" s="45">
        <f>M67+M68+M69+M70</f>
        <v>634.01</v>
      </c>
      <c r="N71" s="183">
        <f>N67+N68+N69+N70</f>
        <v>7048.48</v>
      </c>
      <c r="O71" s="44">
        <f t="shared" si="15"/>
        <v>6414.469999999999</v>
      </c>
      <c r="P71" s="44">
        <f>N71/M71*100</f>
        <v>1111.730098894339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2018.66</v>
      </c>
      <c r="G74" s="36">
        <f t="shared" si="13"/>
        <v>12.960000000000036</v>
      </c>
      <c r="H74" s="32">
        <f>F74/E74*100</f>
        <v>100.646158448422</v>
      </c>
      <c r="I74" s="43">
        <f t="shared" si="14"/>
        <v>-7481.34</v>
      </c>
      <c r="J74" s="40">
        <f>F74/D74*100</f>
        <v>21.249052631578948</v>
      </c>
      <c r="K74" s="40">
        <f>F74-0</f>
        <v>2018.66</v>
      </c>
      <c r="L74" s="43"/>
      <c r="M74" s="32">
        <f>E74-лютий!E74</f>
        <v>0.7999999999999545</v>
      </c>
      <c r="N74" s="178">
        <f>F74-лютий!F74</f>
        <v>5</v>
      </c>
      <c r="O74" s="40">
        <f>N74-M74</f>
        <v>4.2000000000000455</v>
      </c>
      <c r="P74" s="46">
        <f>N74/M74*100</f>
        <v>625.0000000000355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0.28</v>
      </c>
      <c r="G75" s="36">
        <f t="shared" si="13"/>
        <v>0.28</v>
      </c>
      <c r="H75" s="32"/>
      <c r="I75" s="43">
        <f t="shared" si="14"/>
        <v>0.28</v>
      </c>
      <c r="J75" s="43"/>
      <c r="K75" s="43">
        <f>F75-0.58</f>
        <v>-0.29999999999999993</v>
      </c>
      <c r="L75" s="43">
        <f>F75/0.58*100</f>
        <v>48.27586206896552</v>
      </c>
      <c r="M75" s="32">
        <f>E75-лютий!E75</f>
        <v>0</v>
      </c>
      <c r="N75" s="178">
        <f>F75-лютий!F75</f>
        <v>0.12000000000000002</v>
      </c>
      <c r="O75" s="40">
        <f t="shared" si="15"/>
        <v>0.12000000000000002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2019.38</v>
      </c>
      <c r="G76" s="30">
        <f>G72+G75+G73+G74</f>
        <v>13.680000000000037</v>
      </c>
      <c r="H76" s="52">
        <f>F76/E76*100</f>
        <v>100.68205614000101</v>
      </c>
      <c r="I76" s="44">
        <f t="shared" si="14"/>
        <v>-7481.62</v>
      </c>
      <c r="J76" s="44">
        <f>F76/D76*100</f>
        <v>21.25439427428692</v>
      </c>
      <c r="K76" s="44">
        <f>F76-0.58</f>
        <v>2018.8000000000002</v>
      </c>
      <c r="L76" s="44">
        <f>F76/0.58*100</f>
        <v>348168.96551724145</v>
      </c>
      <c r="M76" s="45">
        <f>M72+M75+M73+M74</f>
        <v>0.7999999999999545</v>
      </c>
      <c r="N76" s="183">
        <f>N72+N75+N73+N74</f>
        <v>5.55</v>
      </c>
      <c r="O76" s="45">
        <f>O72+O75+O73+O74</f>
        <v>4.750000000000045</v>
      </c>
      <c r="P76" s="44">
        <f>N76/M76*100</f>
        <v>693.7500000000394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0.69</v>
      </c>
      <c r="G77" s="36">
        <f t="shared" si="13"/>
        <v>-12.020000000000001</v>
      </c>
      <c r="H77" s="32">
        <f>F77/E77*100</f>
        <v>5.428796223446105</v>
      </c>
      <c r="I77" s="43">
        <f t="shared" si="14"/>
        <v>-42.31</v>
      </c>
      <c r="J77" s="43">
        <f>F77/D77*100</f>
        <v>1.6046511627906976</v>
      </c>
      <c r="K77" s="43">
        <f>F77-12.95</f>
        <v>-12.26</v>
      </c>
      <c r="L77" s="43">
        <f>F77/12.95*100</f>
        <v>5.328185328185328</v>
      </c>
      <c r="M77" s="32">
        <f>E77-лютий!E77</f>
        <v>11.99</v>
      </c>
      <c r="N77" s="178">
        <f>F77-лютий!F77</f>
        <v>0</v>
      </c>
      <c r="O77" s="40">
        <f t="shared" si="15"/>
        <v>-11.99</v>
      </c>
      <c r="P77" s="43">
        <f>N77/M77</f>
        <v>0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10093.89</v>
      </c>
      <c r="G79" s="37">
        <f>F79-E79</f>
        <v>5722.219999999999</v>
      </c>
      <c r="H79" s="38">
        <f>F79/E79*100</f>
        <v>230.8932284458799</v>
      </c>
      <c r="I79" s="28">
        <f>F79-D79</f>
        <v>-17121.11</v>
      </c>
      <c r="J79" s="28">
        <f>F79/D79*100</f>
        <v>37.089435972809106</v>
      </c>
      <c r="K79" s="28">
        <f>F79-1453.19</f>
        <v>8640.699999999999</v>
      </c>
      <c r="L79" s="28">
        <f>F79/1453.19*100</f>
        <v>694.60221994371</v>
      </c>
      <c r="M79" s="24">
        <f>M65+M77+M71+M76</f>
        <v>646.8</v>
      </c>
      <c r="N79" s="165">
        <f>N65+N77+N71+N76+N78</f>
        <v>7054.03</v>
      </c>
      <c r="O79" s="28">
        <f t="shared" si="15"/>
        <v>6407.23</v>
      </c>
      <c r="P79" s="28">
        <f>N79/M79*100</f>
        <v>1090.6045145330859</v>
      </c>
      <c r="Q79" s="28">
        <f>N79-8104.96</f>
        <v>-1050.9300000000003</v>
      </c>
      <c r="R79" s="101">
        <f>N79/8104.96</f>
        <v>0.8703349553853442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198853.58999999997</v>
      </c>
      <c r="G80" s="37">
        <f>F80-E80</f>
        <v>-16347.591000000044</v>
      </c>
      <c r="H80" s="38">
        <f>F80/E80*100</f>
        <v>92.40357746921471</v>
      </c>
      <c r="I80" s="28">
        <f>F80-D80</f>
        <v>-712262.01</v>
      </c>
      <c r="J80" s="28">
        <f>F80/D80*100</f>
        <v>21.825286494929948</v>
      </c>
      <c r="K80" s="28">
        <f>K58+K79</f>
        <v>50262.21999999999</v>
      </c>
      <c r="L80" s="28">
        <f>F80/139550.7*100</f>
        <v>142.49558762514266</v>
      </c>
      <c r="M80" s="15">
        <f>M58+M79</f>
        <v>83825.51500000001</v>
      </c>
      <c r="N80" s="15">
        <f>N58+N79</f>
        <v>50470.46499999998</v>
      </c>
      <c r="O80" s="28">
        <f t="shared" si="15"/>
        <v>-33355.05000000003</v>
      </c>
      <c r="P80" s="28">
        <f>N80/M80*100</f>
        <v>60.20895308546565</v>
      </c>
      <c r="Q80" s="28">
        <f>N80-42872.96</f>
        <v>7597.504999999983</v>
      </c>
      <c r="R80" s="101">
        <f>N80/42872.96</f>
        <v>1.1772097144680467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7</v>
      </c>
      <c r="D82" s="4" t="s">
        <v>36</v>
      </c>
      <c r="N82" s="83"/>
    </row>
    <row r="83" spans="2:17" ht="30.75">
      <c r="B83" s="57" t="s">
        <v>54</v>
      </c>
      <c r="C83" s="31">
        <v>3852.6</v>
      </c>
      <c r="D83" s="4" t="s">
        <v>24</v>
      </c>
      <c r="G83" s="212"/>
      <c r="H83" s="212"/>
      <c r="I83" s="212"/>
      <c r="J83" s="212"/>
      <c r="K83" s="90"/>
      <c r="L83" s="90"/>
      <c r="P83" s="26"/>
      <c r="Q83" s="26"/>
    </row>
    <row r="84" spans="2:15" ht="34.5" customHeight="1">
      <c r="B84" s="58" t="s">
        <v>56</v>
      </c>
      <c r="C84" s="87">
        <v>42451</v>
      </c>
      <c r="D84" s="31">
        <v>2385.2</v>
      </c>
      <c r="G84" s="4" t="s">
        <v>59</v>
      </c>
      <c r="N84" s="213"/>
      <c r="O84" s="213"/>
    </row>
    <row r="85" spans="3:15" ht="15">
      <c r="C85" s="87">
        <v>42450</v>
      </c>
      <c r="D85" s="31">
        <v>2605.3</v>
      </c>
      <c r="F85" s="124" t="s">
        <v>59</v>
      </c>
      <c r="G85" s="214"/>
      <c r="H85" s="214"/>
      <c r="I85" s="131"/>
      <c r="J85" s="215"/>
      <c r="K85" s="215"/>
      <c r="L85" s="215"/>
      <c r="M85" s="215"/>
      <c r="N85" s="213"/>
      <c r="O85" s="213"/>
    </row>
    <row r="86" spans="3:15" ht="15.75" customHeight="1">
      <c r="C86" s="87">
        <v>42447</v>
      </c>
      <c r="D86" s="31">
        <v>3816.3</v>
      </c>
      <c r="F86" s="73"/>
      <c r="G86" s="214"/>
      <c r="H86" s="214"/>
      <c r="I86" s="131"/>
      <c r="J86" s="216"/>
      <c r="K86" s="216"/>
      <c r="L86" s="216"/>
      <c r="M86" s="216"/>
      <c r="N86" s="213"/>
      <c r="O86" s="213"/>
    </row>
    <row r="87" spans="3:13" ht="15.75" customHeight="1">
      <c r="C87" s="87"/>
      <c r="F87" s="73"/>
      <c r="G87" s="220"/>
      <c r="H87" s="220"/>
      <c r="I87" s="139"/>
      <c r="J87" s="215"/>
      <c r="K87" s="215"/>
      <c r="L87" s="215"/>
      <c r="M87" s="215"/>
    </row>
    <row r="88" spans="2:13" ht="18.75" customHeight="1">
      <c r="B88" s="221" t="s">
        <v>57</v>
      </c>
      <c r="C88" s="222"/>
      <c r="D88" s="148">
        <v>24.19289</v>
      </c>
      <c r="E88" s="74"/>
      <c r="F88" s="140" t="s">
        <v>137</v>
      </c>
      <c r="G88" s="214"/>
      <c r="H88" s="214"/>
      <c r="I88" s="141"/>
      <c r="J88" s="215"/>
      <c r="K88" s="215"/>
      <c r="L88" s="215"/>
      <c r="M88" s="215"/>
    </row>
    <row r="89" spans="6:12" ht="9.75" customHeight="1">
      <c r="F89" s="73"/>
      <c r="G89" s="214"/>
      <c r="H89" s="214"/>
      <c r="I89" s="73"/>
      <c r="J89" s="74"/>
      <c r="K89" s="74"/>
      <c r="L89" s="74"/>
    </row>
    <row r="90" spans="2:12" ht="22.5" customHeight="1" hidden="1">
      <c r="B90" s="217" t="s">
        <v>60</v>
      </c>
      <c r="C90" s="218"/>
      <c r="D90" s="86">
        <v>0</v>
      </c>
      <c r="E90" s="56" t="s">
        <v>24</v>
      </c>
      <c r="F90" s="73"/>
      <c r="G90" s="214"/>
      <c r="H90" s="21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4"/>
      <c r="O91" s="214"/>
    </row>
    <row r="92" spans="4:15" ht="15">
      <c r="D92" s="83"/>
      <c r="I92" s="31"/>
      <c r="N92" s="219"/>
      <c r="O92" s="219"/>
    </row>
    <row r="93" spans="14:15" ht="15">
      <c r="N93" s="214"/>
      <c r="O93" s="214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1" fitToWidth="1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P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87" t="s">
        <v>139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92"/>
      <c r="R1" s="93"/>
    </row>
    <row r="2" spans="2:18" s="1" customFormat="1" ht="15.75" customHeight="1">
      <c r="B2" s="188"/>
      <c r="C2" s="188"/>
      <c r="D2" s="18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89"/>
      <c r="B3" s="191"/>
      <c r="C3" s="192" t="s">
        <v>0</v>
      </c>
      <c r="D3" s="193" t="s">
        <v>121</v>
      </c>
      <c r="E3" s="34"/>
      <c r="F3" s="194" t="s">
        <v>26</v>
      </c>
      <c r="G3" s="195"/>
      <c r="H3" s="195"/>
      <c r="I3" s="195"/>
      <c r="J3" s="196"/>
      <c r="K3" s="89"/>
      <c r="L3" s="89"/>
      <c r="M3" s="223" t="s">
        <v>128</v>
      </c>
      <c r="N3" s="200" t="s">
        <v>119</v>
      </c>
      <c r="O3" s="200"/>
      <c r="P3" s="200"/>
      <c r="Q3" s="200"/>
      <c r="R3" s="200"/>
    </row>
    <row r="4" spans="1:18" ht="22.5" customHeight="1">
      <c r="A4" s="189"/>
      <c r="B4" s="191"/>
      <c r="C4" s="192"/>
      <c r="D4" s="193"/>
      <c r="E4" s="201" t="s">
        <v>127</v>
      </c>
      <c r="F4" s="203" t="s">
        <v>34</v>
      </c>
      <c r="G4" s="205" t="s">
        <v>116</v>
      </c>
      <c r="H4" s="198" t="s">
        <v>117</v>
      </c>
      <c r="I4" s="205" t="s">
        <v>122</v>
      </c>
      <c r="J4" s="198" t="s">
        <v>123</v>
      </c>
      <c r="K4" s="91" t="s">
        <v>65</v>
      </c>
      <c r="L4" s="96" t="s">
        <v>64</v>
      </c>
      <c r="M4" s="198"/>
      <c r="N4" s="207" t="s">
        <v>140</v>
      </c>
      <c r="O4" s="205" t="s">
        <v>50</v>
      </c>
      <c r="P4" s="209" t="s">
        <v>49</v>
      </c>
      <c r="Q4" s="97" t="s">
        <v>65</v>
      </c>
      <c r="R4" s="98" t="s">
        <v>64</v>
      </c>
    </row>
    <row r="5" spans="1:18" ht="92.25" customHeight="1">
      <c r="A5" s="190"/>
      <c r="B5" s="191"/>
      <c r="C5" s="192"/>
      <c r="D5" s="193"/>
      <c r="E5" s="202"/>
      <c r="F5" s="204"/>
      <c r="G5" s="206"/>
      <c r="H5" s="199"/>
      <c r="I5" s="206"/>
      <c r="J5" s="199"/>
      <c r="K5" s="210" t="s">
        <v>118</v>
      </c>
      <c r="L5" s="211"/>
      <c r="M5" s="199"/>
      <c r="N5" s="208"/>
      <c r="O5" s="206"/>
      <c r="P5" s="209"/>
      <c r="Q5" s="210" t="s">
        <v>120</v>
      </c>
      <c r="R5" s="21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77.10000000000001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12"/>
      <c r="H83" s="212"/>
      <c r="I83" s="212"/>
      <c r="J83" s="212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13"/>
      <c r="O84" s="213"/>
    </row>
    <row r="85" spans="3:15" ht="15">
      <c r="C85" s="87">
        <v>42426</v>
      </c>
      <c r="D85" s="31">
        <v>6256.2</v>
      </c>
      <c r="F85" s="124" t="s">
        <v>59</v>
      </c>
      <c r="G85" s="214"/>
      <c r="H85" s="214"/>
      <c r="I85" s="131"/>
      <c r="J85" s="215"/>
      <c r="K85" s="215"/>
      <c r="L85" s="215"/>
      <c r="M85" s="215"/>
      <c r="N85" s="213"/>
      <c r="O85" s="213"/>
    </row>
    <row r="86" spans="3:15" ht="15.75" customHeight="1">
      <c r="C86" s="87">
        <v>42425</v>
      </c>
      <c r="D86" s="31">
        <v>3536.9</v>
      </c>
      <c r="F86" s="73"/>
      <c r="G86" s="214"/>
      <c r="H86" s="214"/>
      <c r="I86" s="131"/>
      <c r="J86" s="216"/>
      <c r="K86" s="216"/>
      <c r="L86" s="216"/>
      <c r="M86" s="216"/>
      <c r="N86" s="213"/>
      <c r="O86" s="213"/>
    </row>
    <row r="87" spans="3:13" ht="15.75" customHeight="1">
      <c r="C87" s="87"/>
      <c r="F87" s="73"/>
      <c r="G87" s="220"/>
      <c r="H87" s="220"/>
      <c r="I87" s="139"/>
      <c r="J87" s="215"/>
      <c r="K87" s="215"/>
      <c r="L87" s="215"/>
      <c r="M87" s="215"/>
    </row>
    <row r="88" spans="2:13" ht="18.75" customHeight="1">
      <c r="B88" s="221" t="s">
        <v>57</v>
      </c>
      <c r="C88" s="222"/>
      <c r="D88" s="148">
        <v>505.3</v>
      </c>
      <c r="E88" s="74"/>
      <c r="F88" s="140" t="s">
        <v>137</v>
      </c>
      <c r="G88" s="214"/>
      <c r="H88" s="214"/>
      <c r="I88" s="141"/>
      <c r="J88" s="215"/>
      <c r="K88" s="215"/>
      <c r="L88" s="215"/>
      <c r="M88" s="215"/>
    </row>
    <row r="89" spans="6:12" ht="9.75" customHeight="1">
      <c r="F89" s="73"/>
      <c r="G89" s="214"/>
      <c r="H89" s="214"/>
      <c r="I89" s="73"/>
      <c r="J89" s="74"/>
      <c r="K89" s="74"/>
      <c r="L89" s="74"/>
    </row>
    <row r="90" spans="2:12" ht="22.5" customHeight="1" hidden="1">
      <c r="B90" s="217" t="s">
        <v>60</v>
      </c>
      <c r="C90" s="218"/>
      <c r="D90" s="86">
        <v>0</v>
      </c>
      <c r="E90" s="56" t="s">
        <v>24</v>
      </c>
      <c r="F90" s="73"/>
      <c r="G90" s="214"/>
      <c r="H90" s="21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4"/>
      <c r="O91" s="214"/>
    </row>
    <row r="92" spans="4:15" ht="15">
      <c r="D92" s="83"/>
      <c r="I92" s="31"/>
      <c r="N92" s="219"/>
      <c r="O92" s="219"/>
    </row>
    <row r="93" spans="14:15" ht="15">
      <c r="N93" s="214"/>
      <c r="O93" s="214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8">
      <selection activeCell="F68" sqref="F6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87" t="s">
        <v>114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92"/>
      <c r="R1" s="93"/>
    </row>
    <row r="2" spans="2:18" s="1" customFormat="1" ht="15.75" customHeight="1">
      <c r="B2" s="188"/>
      <c r="C2" s="188"/>
      <c r="D2" s="18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89"/>
      <c r="B3" s="191" t="s">
        <v>135</v>
      </c>
      <c r="C3" s="192" t="s">
        <v>0</v>
      </c>
      <c r="D3" s="193" t="s">
        <v>121</v>
      </c>
      <c r="E3" s="34"/>
      <c r="F3" s="194" t="s">
        <v>26</v>
      </c>
      <c r="G3" s="195"/>
      <c r="H3" s="195"/>
      <c r="I3" s="195"/>
      <c r="J3" s="196"/>
      <c r="K3" s="89"/>
      <c r="L3" s="89"/>
      <c r="M3" s="223" t="s">
        <v>132</v>
      </c>
      <c r="N3" s="200" t="s">
        <v>66</v>
      </c>
      <c r="O3" s="200"/>
      <c r="P3" s="200"/>
      <c r="Q3" s="200"/>
      <c r="R3" s="200"/>
    </row>
    <row r="4" spans="1:18" ht="22.5" customHeight="1">
      <c r="A4" s="189"/>
      <c r="B4" s="191"/>
      <c r="C4" s="192"/>
      <c r="D4" s="193"/>
      <c r="E4" s="201" t="s">
        <v>129</v>
      </c>
      <c r="F4" s="203" t="s">
        <v>34</v>
      </c>
      <c r="G4" s="205" t="s">
        <v>130</v>
      </c>
      <c r="H4" s="198" t="s">
        <v>131</v>
      </c>
      <c r="I4" s="205" t="s">
        <v>122</v>
      </c>
      <c r="J4" s="198" t="s">
        <v>123</v>
      </c>
      <c r="K4" s="91" t="s">
        <v>65</v>
      </c>
      <c r="L4" s="96" t="s">
        <v>64</v>
      </c>
      <c r="M4" s="198"/>
      <c r="N4" s="224" t="s">
        <v>133</v>
      </c>
      <c r="O4" s="205" t="s">
        <v>50</v>
      </c>
      <c r="P4" s="209" t="s">
        <v>49</v>
      </c>
      <c r="Q4" s="97" t="s">
        <v>65</v>
      </c>
      <c r="R4" s="98" t="s">
        <v>64</v>
      </c>
    </row>
    <row r="5" spans="1:18" ht="92.25" customHeight="1">
      <c r="A5" s="190"/>
      <c r="B5" s="191"/>
      <c r="C5" s="192"/>
      <c r="D5" s="193"/>
      <c r="E5" s="202"/>
      <c r="F5" s="204"/>
      <c r="G5" s="206"/>
      <c r="H5" s="199"/>
      <c r="I5" s="206"/>
      <c r="J5" s="199"/>
      <c r="K5" s="210" t="s">
        <v>134</v>
      </c>
      <c r="L5" s="211"/>
      <c r="M5" s="199"/>
      <c r="N5" s="225"/>
      <c r="O5" s="206"/>
      <c r="P5" s="209"/>
      <c r="Q5" s="210" t="s">
        <v>120</v>
      </c>
      <c r="R5" s="21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7"/>
        <v>70.2</v>
      </c>
      <c r="H53" s="32"/>
      <c r="I53" s="42">
        <f t="shared" si="8"/>
        <v>70.2</v>
      </c>
      <c r="J53" s="42"/>
      <c r="K53" s="112">
        <f>F53-82.7</f>
        <v>-12.5</v>
      </c>
      <c r="L53" s="112">
        <f>F53/82.7*100</f>
        <v>84.8851269649335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12"/>
      <c r="H83" s="212"/>
      <c r="I83" s="212"/>
      <c r="J83" s="212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13"/>
      <c r="O84" s="213"/>
    </row>
    <row r="85" spans="3:15" ht="15">
      <c r="C85" s="87">
        <v>42397</v>
      </c>
      <c r="D85" s="31">
        <v>8685</v>
      </c>
      <c r="F85" s="124" t="s">
        <v>59</v>
      </c>
      <c r="G85" s="214"/>
      <c r="H85" s="214"/>
      <c r="I85" s="131"/>
      <c r="J85" s="215"/>
      <c r="K85" s="215"/>
      <c r="L85" s="215"/>
      <c r="M85" s="215"/>
      <c r="N85" s="213"/>
      <c r="O85" s="213"/>
    </row>
    <row r="86" spans="3:15" ht="15.75" customHeight="1">
      <c r="C86" s="87">
        <v>42396</v>
      </c>
      <c r="D86" s="31">
        <v>4820.3</v>
      </c>
      <c r="F86" s="73"/>
      <c r="G86" s="214"/>
      <c r="H86" s="214"/>
      <c r="I86" s="131"/>
      <c r="J86" s="216"/>
      <c r="K86" s="216"/>
      <c r="L86" s="216"/>
      <c r="M86" s="216"/>
      <c r="N86" s="213"/>
      <c r="O86" s="213"/>
    </row>
    <row r="87" spans="3:13" ht="15.75" customHeight="1">
      <c r="C87" s="87"/>
      <c r="F87" s="73"/>
      <c r="G87" s="220"/>
      <c r="H87" s="220"/>
      <c r="I87" s="139"/>
      <c r="J87" s="215"/>
      <c r="K87" s="215"/>
      <c r="L87" s="215"/>
      <c r="M87" s="215"/>
    </row>
    <row r="88" spans="2:13" ht="18.75" customHeight="1">
      <c r="B88" s="221" t="s">
        <v>57</v>
      </c>
      <c r="C88" s="222"/>
      <c r="D88" s="148">
        <v>300.92</v>
      </c>
      <c r="E88" s="74"/>
      <c r="F88" s="140"/>
      <c r="G88" s="214"/>
      <c r="H88" s="214"/>
      <c r="I88" s="141"/>
      <c r="J88" s="215"/>
      <c r="K88" s="215"/>
      <c r="L88" s="215"/>
      <c r="M88" s="215"/>
    </row>
    <row r="89" spans="6:12" ht="9.75" customHeight="1">
      <c r="F89" s="73"/>
      <c r="G89" s="214"/>
      <c r="H89" s="214"/>
      <c r="I89" s="73"/>
      <c r="J89" s="74"/>
      <c r="K89" s="74"/>
      <c r="L89" s="74"/>
    </row>
    <row r="90" spans="2:12" ht="22.5" customHeight="1" hidden="1">
      <c r="B90" s="217" t="s">
        <v>60</v>
      </c>
      <c r="C90" s="218"/>
      <c r="D90" s="86">
        <v>0</v>
      </c>
      <c r="E90" s="56" t="s">
        <v>24</v>
      </c>
      <c r="F90" s="73"/>
      <c r="G90" s="214"/>
      <c r="H90" s="21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4"/>
      <c r="O91" s="214"/>
    </row>
    <row r="92" spans="4:15" ht="15">
      <c r="D92" s="83"/>
      <c r="I92" s="31"/>
      <c r="N92" s="219"/>
      <c r="O92" s="219"/>
    </row>
    <row r="93" spans="14:15" ht="15">
      <c r="N93" s="214"/>
      <c r="O93" s="214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F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19" sqref="G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87" t="s">
        <v>114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92"/>
      <c r="R1" s="93"/>
    </row>
    <row r="2" spans="2:18" s="1" customFormat="1" ht="15.75" customHeight="1">
      <c r="B2" s="188"/>
      <c r="C2" s="188"/>
      <c r="D2" s="188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189"/>
      <c r="B3" s="191" t="s">
        <v>136</v>
      </c>
      <c r="C3" s="192" t="s">
        <v>0</v>
      </c>
      <c r="D3" s="193" t="s">
        <v>115</v>
      </c>
      <c r="E3" s="34"/>
      <c r="F3" s="194" t="s">
        <v>26</v>
      </c>
      <c r="G3" s="195"/>
      <c r="H3" s="195"/>
      <c r="I3" s="195"/>
      <c r="J3" s="196"/>
      <c r="K3" s="89"/>
      <c r="L3" s="89"/>
      <c r="M3" s="223" t="s">
        <v>107</v>
      </c>
      <c r="N3" s="200" t="s">
        <v>66</v>
      </c>
      <c r="O3" s="200"/>
      <c r="P3" s="200"/>
      <c r="Q3" s="200"/>
      <c r="R3" s="200"/>
    </row>
    <row r="4" spans="1:18" ht="22.5" customHeight="1">
      <c r="A4" s="189"/>
      <c r="B4" s="191"/>
      <c r="C4" s="192"/>
      <c r="D4" s="193"/>
      <c r="E4" s="201" t="s">
        <v>104</v>
      </c>
      <c r="F4" s="226" t="s">
        <v>34</v>
      </c>
      <c r="G4" s="205" t="s">
        <v>109</v>
      </c>
      <c r="H4" s="198" t="s">
        <v>110</v>
      </c>
      <c r="I4" s="205" t="s">
        <v>105</v>
      </c>
      <c r="J4" s="198" t="s">
        <v>106</v>
      </c>
      <c r="K4" s="91" t="s">
        <v>65</v>
      </c>
      <c r="L4" s="96" t="s">
        <v>64</v>
      </c>
      <c r="M4" s="198"/>
      <c r="N4" s="224" t="s">
        <v>103</v>
      </c>
      <c r="O4" s="205" t="s">
        <v>50</v>
      </c>
      <c r="P4" s="209" t="s">
        <v>49</v>
      </c>
      <c r="Q4" s="97" t="s">
        <v>65</v>
      </c>
      <c r="R4" s="98" t="s">
        <v>64</v>
      </c>
    </row>
    <row r="5" spans="1:18" ht="76.5" customHeight="1">
      <c r="A5" s="190"/>
      <c r="B5" s="191"/>
      <c r="C5" s="192"/>
      <c r="D5" s="193"/>
      <c r="E5" s="202"/>
      <c r="F5" s="227"/>
      <c r="G5" s="206"/>
      <c r="H5" s="199"/>
      <c r="I5" s="206"/>
      <c r="J5" s="199"/>
      <c r="K5" s="210" t="s">
        <v>108</v>
      </c>
      <c r="L5" s="211"/>
      <c r="M5" s="199"/>
      <c r="N5" s="225"/>
      <c r="O5" s="206"/>
      <c r="P5" s="209"/>
      <c r="Q5" s="210" t="s">
        <v>126</v>
      </c>
      <c r="R5" s="21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11"/>
        <v>70.2</v>
      </c>
      <c r="H53" s="32"/>
      <c r="I53" s="42">
        <f t="shared" si="12"/>
        <v>70.2</v>
      </c>
      <c r="J53" s="42"/>
      <c r="K53" s="112">
        <f>F53-82.7</f>
        <v>-12.5</v>
      </c>
      <c r="L53" s="112">
        <f>F53/82.7*100</f>
        <v>84.8851269649335</v>
      </c>
      <c r="M53" s="32">
        <f t="shared" si="13"/>
        <v>0</v>
      </c>
      <c r="N53" s="32">
        <f t="shared" si="14"/>
        <v>70.2</v>
      </c>
      <c r="O53" s="40">
        <f t="shared" si="15"/>
        <v>70.2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12"/>
      <c r="H82" s="212"/>
      <c r="I82" s="212"/>
      <c r="J82" s="212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13"/>
      <c r="O83" s="213"/>
    </row>
    <row r="84" spans="3:15" ht="15">
      <c r="C84" s="87">
        <v>42397</v>
      </c>
      <c r="D84" s="31">
        <v>8685</v>
      </c>
      <c r="F84" s="166" t="s">
        <v>59</v>
      </c>
      <c r="G84" s="214"/>
      <c r="H84" s="214"/>
      <c r="I84" s="131"/>
      <c r="J84" s="215"/>
      <c r="K84" s="215"/>
      <c r="L84" s="215"/>
      <c r="M84" s="215"/>
      <c r="N84" s="213"/>
      <c r="O84" s="213"/>
    </row>
    <row r="85" spans="3:15" ht="15.75" customHeight="1">
      <c r="C85" s="87">
        <v>42396</v>
      </c>
      <c r="D85" s="31">
        <v>4820.3</v>
      </c>
      <c r="F85" s="167"/>
      <c r="G85" s="214"/>
      <c r="H85" s="214"/>
      <c r="I85" s="131"/>
      <c r="J85" s="216"/>
      <c r="K85" s="216"/>
      <c r="L85" s="216"/>
      <c r="M85" s="216"/>
      <c r="N85" s="213"/>
      <c r="O85" s="213"/>
    </row>
    <row r="86" spans="3:13" ht="15.75" customHeight="1">
      <c r="C86" s="87"/>
      <c r="F86" s="167"/>
      <c r="G86" s="220"/>
      <c r="H86" s="220"/>
      <c r="I86" s="139"/>
      <c r="J86" s="215"/>
      <c r="K86" s="215"/>
      <c r="L86" s="215"/>
      <c r="M86" s="215"/>
    </row>
    <row r="87" spans="2:13" ht="18.75" customHeight="1">
      <c r="B87" s="221" t="s">
        <v>57</v>
      </c>
      <c r="C87" s="222"/>
      <c r="D87" s="148">
        <v>300.92</v>
      </c>
      <c r="E87" s="74"/>
      <c r="F87" s="168"/>
      <c r="G87" s="214"/>
      <c r="H87" s="214"/>
      <c r="I87" s="141"/>
      <c r="J87" s="215"/>
      <c r="K87" s="215"/>
      <c r="L87" s="215"/>
      <c r="M87" s="215"/>
    </row>
    <row r="88" spans="6:12" ht="9.75" customHeight="1">
      <c r="F88" s="167"/>
      <c r="G88" s="214"/>
      <c r="H88" s="214"/>
      <c r="I88" s="73"/>
      <c r="J88" s="74"/>
      <c r="K88" s="74"/>
      <c r="L88" s="74"/>
    </row>
    <row r="89" spans="2:12" ht="22.5" customHeight="1" hidden="1">
      <c r="B89" s="217" t="s">
        <v>60</v>
      </c>
      <c r="C89" s="218"/>
      <c r="D89" s="86">
        <v>0</v>
      </c>
      <c r="E89" s="56" t="s">
        <v>24</v>
      </c>
      <c r="F89" s="167"/>
      <c r="G89" s="214"/>
      <c r="H89" s="214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14"/>
      <c r="O90" s="214"/>
    </row>
    <row r="91" spans="4:15" ht="15">
      <c r="D91" s="83"/>
      <c r="I91" s="31"/>
      <c r="N91" s="219"/>
      <c r="O91" s="219"/>
    </row>
    <row r="92" spans="14:15" ht="15">
      <c r="N92" s="214"/>
      <c r="O92" s="214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2016-03-23T07:55:54Z</cp:lastPrinted>
  <dcterms:created xsi:type="dcterms:W3CDTF">2003-07-28T11:27:56Z</dcterms:created>
  <dcterms:modified xsi:type="dcterms:W3CDTF">2016-03-23T08:17:46Z</dcterms:modified>
  <cp:category/>
  <cp:version/>
  <cp:contentType/>
  <cp:contentStatus/>
</cp:coreProperties>
</file>